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atten och Renhållning\VA\Anläggningsavgifter\Beräkning anläggningsavgifter\"/>
    </mc:Choice>
  </mc:AlternateContent>
  <xr:revisionPtr revIDLastSave="0" documentId="13_ncr:1_{625DCE62-B4E5-424F-B54A-336EBD876D80}" xr6:coauthVersionLast="47" xr6:coauthVersionMax="47" xr10:uidLastSave="{00000000-0000-0000-0000-000000000000}"/>
  <workbookProtection workbookAlgorithmName="SHA-512" workbookHashValue="eAH2PhCoLvSNRm/cmMl0HKuCk8gMm0I7N8LCnltTojLBMV3wcTgzx4k6ZlZYHpdP15MK3qkB5VmMeuSs9U7tng==" workbookSaltValue="OFUTlMrUlcf0o3NqS/b1QA==" workbookSpinCount="100000" lockStructure="1"/>
  <bookViews>
    <workbookView xWindow="38280" yWindow="-120" windowWidth="38640" windowHeight="21240" firstSheet="1" activeTab="3" xr2:uid="{00000000-000D-0000-FFFF-FFFF00000000}"/>
  </bookViews>
  <sheets>
    <sheet name="Enkel fastighet" sheetId="1" state="hidden" r:id="rId1"/>
    <sheet name="Blad2" sheetId="2" r:id="rId2"/>
    <sheet name="Blad3" sheetId="3" r:id="rId3"/>
    <sheet name="Anläggningsavgif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2" l="1"/>
  <c r="G34" i="4" s="1"/>
  <c r="I56" i="2" l="1"/>
  <c r="I55" i="2"/>
  <c r="I54" i="2"/>
  <c r="I53" i="2"/>
  <c r="I52" i="2"/>
  <c r="I51" i="2"/>
  <c r="I50" i="2"/>
  <c r="T10" i="2" s="1"/>
  <c r="E37" i="2"/>
  <c r="E36" i="2"/>
  <c r="E35" i="2"/>
  <c r="S55" i="2"/>
  <c r="S54" i="2"/>
  <c r="S52" i="2"/>
  <c r="S50" i="2"/>
  <c r="S53" i="2"/>
  <c r="S51" i="2"/>
  <c r="S49" i="2"/>
  <c r="T14" i="2" s="1"/>
  <c r="T12" i="2"/>
  <c r="S38" i="2"/>
  <c r="S41" i="2"/>
  <c r="S40" i="2"/>
  <c r="S39" i="2"/>
  <c r="S37" i="2"/>
  <c r="S36" i="2"/>
  <c r="S35" i="2"/>
  <c r="P4" i="2" l="1"/>
  <c r="R4" i="2" s="1"/>
  <c r="T4" i="2" s="1"/>
  <c r="T20" i="2"/>
  <c r="V14" i="2" l="1"/>
  <c r="G30" i="4" s="1"/>
  <c r="P6" i="2"/>
  <c r="D9" i="2" l="1"/>
  <c r="P20" i="2" l="1"/>
  <c r="Q18" i="2" l="1"/>
  <c r="T18" i="2" s="1"/>
  <c r="V20" i="2" s="1"/>
  <c r="T23" i="2" s="1"/>
  <c r="G32" i="4" s="1"/>
  <c r="G26" i="4" l="1"/>
  <c r="P8" i="2"/>
  <c r="T8" i="2" s="1"/>
  <c r="G24" i="4" l="1"/>
  <c r="T16" i="2" l="1"/>
  <c r="V12" i="2" s="1"/>
  <c r="H15" i="1"/>
  <c r="D13" i="2"/>
  <c r="D3" i="2"/>
  <c r="D7" i="2" s="1"/>
  <c r="G28" i="4" l="1"/>
  <c r="G36" i="4" s="1"/>
  <c r="H13" i="1"/>
  <c r="D11" i="2" s="1"/>
  <c r="D15" i="2" l="1"/>
  <c r="D17" i="2" s="1"/>
  <c r="H17" i="1" s="1"/>
  <c r="H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Marcus Larsson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Marcus Larsson:</t>
        </r>
        <r>
          <rPr>
            <sz val="9"/>
            <color indexed="81"/>
            <rFont val="Tahoma"/>
            <charset val="1"/>
          </rPr>
          <t xml:space="preserve">
Denna ändras vid ny taxa</t>
        </r>
      </text>
    </comment>
    <comment ref="P3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Marcus Larsson:</t>
        </r>
        <r>
          <rPr>
            <sz val="9"/>
            <color indexed="81"/>
            <rFont val="Tahoma"/>
            <charset val="1"/>
          </rPr>
          <t xml:space="preserve">
Denna ändras vid ny taxa</t>
        </r>
      </text>
    </comment>
    <comment ref="D3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Marcus Larsson:</t>
        </r>
        <r>
          <rPr>
            <sz val="9"/>
            <color indexed="81"/>
            <rFont val="Tahoma"/>
            <charset val="1"/>
          </rPr>
          <t xml:space="preserve">
Ändras vid taxeändring</t>
        </r>
      </text>
    </comment>
    <comment ref="H4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Marcus Larsson:</t>
        </r>
        <r>
          <rPr>
            <sz val="9"/>
            <color indexed="81"/>
            <rFont val="Tahoma"/>
            <family val="2"/>
          </rPr>
          <t xml:space="preserve">
Denna ändras vid förändrad taxaa</t>
        </r>
      </text>
    </comment>
    <comment ref="P46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Marcus Larsson:</t>
        </r>
        <r>
          <rPr>
            <sz val="9"/>
            <color indexed="81"/>
            <rFont val="Tahoma"/>
            <charset val="1"/>
          </rPr>
          <t xml:space="preserve">
Denna ändras vid ny taxa</t>
        </r>
      </text>
    </comment>
    <comment ref="E47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Marcus Larsson:</t>
        </r>
        <r>
          <rPr>
            <sz val="9"/>
            <color indexed="81"/>
            <rFont val="Tahoma"/>
            <charset val="1"/>
          </rPr>
          <t xml:space="preserve">
Denna ändras vid ny taxa</t>
        </r>
      </text>
    </comment>
  </commentList>
</comments>
</file>

<file path=xl/sharedStrings.xml><?xml version="1.0" encoding="utf-8"?>
<sst xmlns="http://schemas.openxmlformats.org/spreadsheetml/2006/main" count="76" uniqueCount="47">
  <si>
    <t>Spillvatten</t>
  </si>
  <si>
    <t>Dagvatten</t>
  </si>
  <si>
    <t>Vatten</t>
  </si>
  <si>
    <t>KOSTNAD FRAMDRAGNING AV SERVISLEDNING</t>
  </si>
  <si>
    <t>Total anslutningskostnad:</t>
  </si>
  <si>
    <t>kr</t>
  </si>
  <si>
    <t>Fastighetens yta:</t>
  </si>
  <si>
    <t>Vad skall anslutas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</si>
  <si>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</si>
  <si>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KOSTNAD PER UPPSÄTTNING FP</t>
  </si>
  <si>
    <t>AVGIFT FÖR FASTIGHETENS YTA</t>
  </si>
  <si>
    <t>AVGIFT PER LÄGENHET</t>
  </si>
  <si>
    <t>Antal lägenheter</t>
  </si>
  <si>
    <t>st</t>
  </si>
  <si>
    <t>Blad 1</t>
  </si>
  <si>
    <t>Blad 2</t>
  </si>
  <si>
    <t>Lageryta</t>
  </si>
  <si>
    <t>Lägenheter</t>
  </si>
  <si>
    <t>Lagerlokal el. dyl.</t>
  </si>
  <si>
    <t>Antal serviser</t>
  </si>
  <si>
    <t>Uppsättning FP</t>
  </si>
  <si>
    <t>Tomtavgift</t>
  </si>
  <si>
    <t>Lägenhetsbelopp</t>
  </si>
  <si>
    <t>TOTALT LÄGENHETSBELOPP</t>
  </si>
  <si>
    <t>Totalt utan tomtavgift</t>
  </si>
  <si>
    <t>Extra servis</t>
  </si>
  <si>
    <t>Extra uppsättning FP</t>
  </si>
  <si>
    <t>TOTAL ANSLUTNINGSKOSTNAD</t>
  </si>
  <si>
    <t>BERÄKNING AV ANSLUTNINGSKOSTNAD</t>
  </si>
  <si>
    <t>TOTAL KOSTNAD FÖR EXTRA SERVISER</t>
  </si>
  <si>
    <t>Tomtyteavgifter beroende på antal- ändamål</t>
  </si>
  <si>
    <t>Kostnad per m2</t>
  </si>
  <si>
    <t>Spill</t>
  </si>
  <si>
    <t>Lägenhetsavgift beroende på antal ändamål</t>
  </si>
  <si>
    <t>Avgift för framdragen servisledning</t>
  </si>
  <si>
    <t>Antal ledningar</t>
  </si>
  <si>
    <t>Kostnad S,D,V</t>
  </si>
  <si>
    <t>1 ledning</t>
  </si>
  <si>
    <t>2 ledningar</t>
  </si>
  <si>
    <t>3 ledningar</t>
  </si>
  <si>
    <t>Avgift per uppsättning FP</t>
  </si>
  <si>
    <t>Kostnad 1x (S,D,V)</t>
  </si>
  <si>
    <t>Typ</t>
  </si>
  <si>
    <t>Andel</t>
  </si>
  <si>
    <t>Kostnad</t>
  </si>
  <si>
    <t>GRUNDAVGIFT FÖR BORTLEDANDE AV D (FP SAKNAS)</t>
  </si>
  <si>
    <t>Grundavgift för bortledande av dagvatten där fp för detta ej upprättas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</si>
</sst>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Protection="1"/>
    <xf numFmtId="0" fontId="0" fillId="0" borderId="0" xfId="0" applyProtection="1"/>
    <xf numFmtId="0" fontId="5" fillId="3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Border="1" applyProtection="1"/>
    <xf numFmtId="0" fontId="8" fillId="0" borderId="0" xfId="0" applyFont="1" applyAlignment="1" applyProtection="1">
      <alignment vertic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0" fillId="4" borderId="7" xfId="0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11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4" borderId="15" xfId="0" applyFill="1" applyBorder="1" applyProtection="1"/>
    <xf numFmtId="0" fontId="0" fillId="4" borderId="6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16" xfId="0" applyFill="1" applyBorder="1" applyProtection="1"/>
    <xf numFmtId="0" fontId="0" fillId="4" borderId="10" xfId="0" applyFill="1" applyBorder="1" applyProtection="1"/>
    <xf numFmtId="0" fontId="0" fillId="4" borderId="9" xfId="0" applyFill="1" applyBorder="1" applyProtection="1"/>
    <xf numFmtId="0" fontId="0" fillId="4" borderId="8" xfId="0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1" fillId="4" borderId="4" xfId="0" applyFont="1" applyFill="1" applyBorder="1" applyProtection="1"/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4" borderId="12" xfId="0" applyFont="1" applyFill="1" applyBorder="1" applyProtection="1"/>
    <xf numFmtId="0" fontId="1" fillId="4" borderId="13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center"/>
    </xf>
    <xf numFmtId="0" fontId="0" fillId="4" borderId="14" xfId="0" applyFill="1" applyBorder="1" applyProtection="1"/>
    <xf numFmtId="0" fontId="0" fillId="4" borderId="0" xfId="0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0" xfId="0" applyFont="1" applyBorder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6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8"/>
  <sheetViews>
    <sheetView workbookViewId="0">
      <selection activeCell="H19" sqref="H19"/>
    </sheetView>
  </sheetViews>
  <sheetFormatPr defaultColWidth="9.140625" defaultRowHeight="15" x14ac:dyDescent="0.25"/>
  <cols>
    <col min="1" max="1" width="9.140625" style="1"/>
    <col min="2" max="2" width="11" style="1" customWidth="1"/>
    <col min="3" max="6" width="9.140625" style="1"/>
    <col min="7" max="7" width="11.5703125" style="1" bestFit="1" customWidth="1"/>
    <col min="8" max="16384" width="9.140625" style="1"/>
  </cols>
  <sheetData>
    <row r="2" spans="2:11" x14ac:dyDescent="0.25">
      <c r="B2" s="61" t="s">
        <v>7</v>
      </c>
      <c r="C2" s="61"/>
      <c r="F2" s="2"/>
      <c r="G2" s="2"/>
      <c r="H2" s="2"/>
      <c r="I2" s="2"/>
    </row>
    <row r="3" spans="2:11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thickBot="1" x14ac:dyDescent="0.3">
      <c r="B4" s="3" t="s">
        <v>0</v>
      </c>
      <c r="C4" s="4">
        <v>1</v>
      </c>
      <c r="D4" s="2"/>
      <c r="E4" s="2"/>
      <c r="F4" s="2"/>
    </row>
    <row r="5" spans="2:11" ht="15.7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.75" thickBot="1" x14ac:dyDescent="0.3">
      <c r="B6" s="3" t="s">
        <v>1</v>
      </c>
      <c r="C6" s="4">
        <v>1</v>
      </c>
      <c r="D6" s="2"/>
      <c r="E6" s="2"/>
      <c r="F6" s="2"/>
      <c r="G6" s="2"/>
      <c r="H6" s="2"/>
      <c r="I6" s="2"/>
      <c r="J6" s="2"/>
      <c r="K6" s="2"/>
    </row>
    <row r="7" spans="2:11" ht="15.75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ht="15.75" thickBot="1" x14ac:dyDescent="0.3">
      <c r="B8" s="3" t="s">
        <v>2</v>
      </c>
      <c r="C8" s="4">
        <v>1</v>
      </c>
      <c r="D8" s="2"/>
      <c r="E8" s="2"/>
      <c r="F8" s="2"/>
      <c r="G8" s="2"/>
      <c r="H8" s="2"/>
      <c r="I8" s="2"/>
      <c r="J8" s="2"/>
      <c r="K8" s="2"/>
    </row>
    <row r="9" spans="2:11" ht="15.75" thickBot="1" x14ac:dyDescent="0.3">
      <c r="B9" s="2"/>
      <c r="C9" s="5"/>
      <c r="D9" s="2"/>
      <c r="E9" s="2"/>
      <c r="F9" s="2"/>
      <c r="G9" s="2"/>
      <c r="H9" s="2"/>
      <c r="I9" s="2"/>
      <c r="J9" s="2"/>
      <c r="K9" s="2"/>
    </row>
    <row r="10" spans="2:11" ht="18" thickBot="1" x14ac:dyDescent="0.3">
      <c r="B10" s="59" t="s">
        <v>6</v>
      </c>
      <c r="C10" s="60"/>
      <c r="D10" s="4">
        <v>800</v>
      </c>
      <c r="E10" s="6" t="s">
        <v>8</v>
      </c>
      <c r="F10" s="2"/>
      <c r="G10" s="2"/>
      <c r="H10" s="2"/>
      <c r="I10" s="2"/>
      <c r="J10" s="2"/>
      <c r="K10" s="2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5.75" thickBot="1" x14ac:dyDescent="0.3"/>
    <row r="13" spans="2:11" ht="15.75" thickBot="1" x14ac:dyDescent="0.3">
      <c r="B13" s="59" t="s">
        <v>3</v>
      </c>
      <c r="C13" s="60"/>
      <c r="D13" s="60"/>
      <c r="E13" s="60"/>
      <c r="F13" s="60"/>
      <c r="H13" s="10">
        <f>Blad2!D7</f>
        <v>100800</v>
      </c>
    </row>
    <row r="14" spans="2:11" ht="15.75" thickBot="1" x14ac:dyDescent="0.3">
      <c r="B14" s="2"/>
      <c r="C14" s="2"/>
      <c r="D14" s="2"/>
      <c r="F14" s="2"/>
      <c r="G14" s="2"/>
      <c r="H14" s="7"/>
      <c r="I14" s="2"/>
      <c r="J14" s="2"/>
      <c r="K14" s="2"/>
    </row>
    <row r="15" spans="2:11" ht="15.75" thickBot="1" x14ac:dyDescent="0.3">
      <c r="B15" s="59" t="s">
        <v>9</v>
      </c>
      <c r="C15" s="60"/>
      <c r="D15" s="60"/>
      <c r="E15" s="2"/>
      <c r="F15" s="2"/>
      <c r="G15" s="2"/>
      <c r="H15" s="10">
        <f>Blad2!D9</f>
        <v>39900</v>
      </c>
      <c r="I15" s="2"/>
      <c r="J15" s="2"/>
      <c r="K15" s="2"/>
    </row>
    <row r="16" spans="2:11" ht="15.75" thickBot="1" x14ac:dyDescent="0.3">
      <c r="B16" s="2"/>
      <c r="C16" s="2"/>
      <c r="D16" s="2"/>
      <c r="E16" s="2"/>
      <c r="F16" s="2"/>
      <c r="G16" s="2"/>
      <c r="H16" s="7"/>
      <c r="I16" s="2"/>
      <c r="J16" s="2"/>
      <c r="K16" s="2"/>
    </row>
    <row r="17" spans="2:11" ht="15.75" thickBot="1" x14ac:dyDescent="0.3">
      <c r="B17" s="59" t="s">
        <v>10</v>
      </c>
      <c r="C17" s="60"/>
      <c r="D17" s="60"/>
      <c r="E17" s="2"/>
      <c r="F17" s="2"/>
      <c r="G17" s="2"/>
      <c r="H17" s="10">
        <f>Blad2!D17</f>
        <v>36000</v>
      </c>
      <c r="I17" s="2"/>
      <c r="J17" s="2"/>
      <c r="K17" s="2"/>
    </row>
    <row r="18" spans="2:11" ht="15.75" thickBot="1" x14ac:dyDescent="0.3">
      <c r="B18" s="2"/>
      <c r="C18" s="2"/>
      <c r="D18" s="2"/>
      <c r="E18" s="2"/>
      <c r="F18" s="2"/>
      <c r="G18" s="2"/>
      <c r="H18" s="7"/>
      <c r="I18" s="2"/>
      <c r="J18" s="2"/>
      <c r="K18" s="2"/>
    </row>
    <row r="19" spans="2:11" ht="15.75" thickBot="1" x14ac:dyDescent="0.3">
      <c r="B19" s="59" t="s">
        <v>11</v>
      </c>
      <c r="C19" s="60"/>
      <c r="D19" s="2"/>
      <c r="E19" s="2"/>
      <c r="F19" s="2"/>
      <c r="G19" s="2"/>
      <c r="H19" s="10">
        <v>40000</v>
      </c>
      <c r="I19" s="2"/>
      <c r="J19" s="2"/>
      <c r="K19" s="2"/>
    </row>
    <row r="20" spans="2:1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</row>
    <row r="23" spans="2:11" x14ac:dyDescent="0.25">
      <c r="B23" s="2"/>
      <c r="C23" s="2"/>
      <c r="D23" s="2"/>
      <c r="E23" s="57" t="s">
        <v>4</v>
      </c>
      <c r="F23" s="58"/>
      <c r="G23" s="58"/>
      <c r="H23" s="9">
        <f>SUM(H13,H15,H17,H19)</f>
        <v>216700</v>
      </c>
      <c r="I23" s="9" t="s">
        <v>5</v>
      </c>
      <c r="J23" s="2"/>
      <c r="K23" s="2"/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7">
    <mergeCell ref="E23:G23"/>
    <mergeCell ref="B10:C10"/>
    <mergeCell ref="B2:C2"/>
    <mergeCell ref="B13:F13"/>
    <mergeCell ref="B15:D15"/>
    <mergeCell ref="B19:C19"/>
    <mergeCell ref="B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zoomScale="75" zoomScaleNormal="75" workbookViewId="0">
      <selection activeCell="D32" sqref="D32"/>
    </sheetView>
  </sheetViews>
  <sheetFormatPr defaultRowHeight="15" x14ac:dyDescent="0.25"/>
  <cols>
    <col min="2" max="2" width="11.42578125" bestFit="1" customWidth="1"/>
    <col min="3" max="3" width="13" customWidth="1"/>
    <col min="6" max="6" width="9.42578125" customWidth="1"/>
    <col min="7" max="7" width="9.85546875" customWidth="1"/>
    <col min="16" max="16" width="10.140625" customWidth="1"/>
    <col min="19" max="19" width="15.42578125" customWidth="1"/>
  </cols>
  <sheetData>
    <row r="1" spans="1:2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3"/>
      <c r="B2" s="13"/>
      <c r="C2" s="13" t="s">
        <v>14</v>
      </c>
      <c r="D2" s="13"/>
      <c r="E2" s="13"/>
      <c r="F2" s="13"/>
      <c r="G2" s="13"/>
      <c r="H2" s="13"/>
      <c r="I2" s="13"/>
      <c r="J2" s="13"/>
      <c r="K2" s="13"/>
      <c r="L2" s="13"/>
      <c r="M2" s="17"/>
      <c r="N2" s="13"/>
      <c r="O2" s="13"/>
      <c r="P2" s="13" t="s">
        <v>15</v>
      </c>
      <c r="Q2" s="13"/>
      <c r="R2" s="13"/>
      <c r="S2" s="13"/>
      <c r="T2" s="13"/>
      <c r="U2" s="13"/>
      <c r="V2" s="13"/>
    </row>
    <row r="3" spans="1:22" x14ac:dyDescent="0.25">
      <c r="A3" s="13"/>
      <c r="B3" s="13"/>
      <c r="C3" s="13"/>
      <c r="D3" s="13">
        <f>'Enkel fastighet'!C4+'Enkel fastighet'!C6+'Enkel fastighet'!C8</f>
        <v>3</v>
      </c>
      <c r="E3" s="13"/>
      <c r="F3" s="13">
        <v>50</v>
      </c>
      <c r="G3" s="13"/>
      <c r="H3" s="13"/>
      <c r="I3" s="13"/>
      <c r="J3" s="13"/>
      <c r="K3" s="13"/>
      <c r="L3" s="13"/>
      <c r="M3" s="17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7"/>
      <c r="N4" s="13" t="s">
        <v>16</v>
      </c>
      <c r="O4" s="13"/>
      <c r="P4" s="13">
        <f>Anläggningsavgift!D14</f>
        <v>0</v>
      </c>
      <c r="Q4" s="13"/>
      <c r="R4" s="13">
        <f>P4/150</f>
        <v>0</v>
      </c>
      <c r="S4" s="13"/>
      <c r="T4" s="13">
        <f>R4*50400</f>
        <v>0</v>
      </c>
      <c r="U4" s="13"/>
      <c r="V4" s="13"/>
    </row>
    <row r="5" spans="1:22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7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N6" s="13" t="s">
        <v>17</v>
      </c>
      <c r="O6" s="13"/>
      <c r="P6" s="13">
        <f>Anläggningsavgift!D12*50400</f>
        <v>50400</v>
      </c>
      <c r="Q6" s="13"/>
      <c r="R6" s="13"/>
      <c r="S6" s="13"/>
      <c r="T6" s="13"/>
      <c r="U6" s="13"/>
      <c r="V6" s="13"/>
    </row>
    <row r="7" spans="1:22" x14ac:dyDescent="0.25">
      <c r="A7" s="13"/>
      <c r="B7" s="13"/>
      <c r="C7" s="13"/>
      <c r="D7" s="13">
        <f>IF(AND(D3=1),70560,IF(AND(D3=2),90720,IF(AND(D3=3),100800,0)))</f>
        <v>100800</v>
      </c>
      <c r="E7" s="13"/>
      <c r="F7" s="13"/>
      <c r="G7" s="13"/>
      <c r="H7" s="13"/>
      <c r="I7" s="13"/>
      <c r="J7" s="13"/>
      <c r="K7" s="13"/>
      <c r="L7" s="13"/>
      <c r="M7" s="17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7"/>
      <c r="N8" s="13" t="s">
        <v>19</v>
      </c>
      <c r="O8" s="13"/>
      <c r="P8" s="13">
        <f>Anläggningsavgift!C4+Anläggningsavgift!C6+Anläggningsavgift!C8</f>
        <v>3</v>
      </c>
      <c r="Q8" s="13"/>
      <c r="R8" s="13"/>
      <c r="S8" s="13"/>
      <c r="T8" s="13">
        <f>IF(AND(P8=1),E35,IF(AND(P8=2),E36,IF(AND(P8=3),E37,0)))</f>
        <v>134125</v>
      </c>
      <c r="U8" s="13"/>
      <c r="V8" s="13"/>
    </row>
    <row r="9" spans="1:22" x14ac:dyDescent="0.25">
      <c r="A9" s="13"/>
      <c r="B9" s="13"/>
      <c r="C9" s="13"/>
      <c r="D9" s="13">
        <f>IF(AND('Enkel fastighet'!C4=1,'Enkel fastighet'!C6=1,'Enkel fastighet'!C8=1),39900,IF(AND('Enkel fastighet'!C4=1,'Enkel fastighet'!C6=1,'Enkel fastighet'!C8=0),25935,IF(AND('Enkel fastighet'!C4=1,'Enkel fastighet'!C6=0,'Enkel fastighet'!C8=1),35910,IF(AND('Enkel fastighet'!C4=0,'Enkel fastighet'!C6=1,'Enkel fastighet'!C8=1),13500,IF(AND('Enkel fastighet'!C4=0,'Enkel fastighet'!C6=0,'Enkel fastighet'!C8=1),8100,IF(AND('Enkel fastighet'!C4=0,'Enkel fastighet'!C6=1,'Enkel fastighet'!C8=0),3990,IF(AND('Enkel fastighet'!C4=1,'Enkel fastighet'!C6=0,'Enkel fastighet'!C8=0),13500,0)))))))</f>
        <v>39900</v>
      </c>
      <c r="E9" s="13"/>
      <c r="F9" s="13"/>
      <c r="G9" s="13"/>
      <c r="H9" s="13"/>
      <c r="I9" s="13"/>
      <c r="J9" s="13"/>
      <c r="K9" s="13"/>
      <c r="L9" s="13"/>
      <c r="M9" s="17"/>
      <c r="N9" s="13"/>
      <c r="O9" s="13"/>
      <c r="P9" s="13"/>
      <c r="Q9" s="13"/>
      <c r="R9" s="13"/>
      <c r="S9" s="13"/>
      <c r="T9" s="13"/>
      <c r="U9" s="13"/>
      <c r="V9" s="13"/>
    </row>
    <row r="10" spans="1:22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7"/>
      <c r="N10" s="13" t="s">
        <v>20</v>
      </c>
      <c r="O10" s="13"/>
      <c r="P10" s="13"/>
      <c r="Q10" s="13"/>
      <c r="R10" s="13"/>
      <c r="S10" s="13"/>
      <c r="T10" s="13">
        <f>IF(AND(Anläggningsavgift!C4=1,Anläggningsavgift!C6=1,Anläggningsavgift!C8=1),I50,IF(AND(Anläggningsavgift!C4=1,Anläggningsavgift!C6=1,Anläggningsavgift!C8=0),I51,IF(AND(Anläggningsavgift!C4=1,Anläggningsavgift!C6=0,Anläggningsavgift!C8=1),I53,IF(AND(Anläggningsavgift!C4=0,Anläggningsavgift!C6=1,Anläggningsavgift!C8=1),I55,IF(AND(Anläggningsavgift!C4=0,Anläggningsavgift!C6=0,Anläggningsavgift!C8=1),I54,IF(AND(Anläggningsavgift!C4=0,Anläggningsavgift!C6=1,Anläggningsavgift!C8=0),I56,IF(AND(Anläggningsavgift!C4=1,Anläggningsavgift!C6=0,Anläggningsavgift!C8=0),I52)))))))</f>
        <v>51750</v>
      </c>
      <c r="U10" s="13"/>
      <c r="V10" s="13"/>
    </row>
    <row r="11" spans="1:22" x14ac:dyDescent="0.25">
      <c r="A11" s="13"/>
      <c r="B11" s="13"/>
      <c r="C11" s="13"/>
      <c r="D11" s="13">
        <f>'Enkel fastighet'!H13+'Enkel fastighet'!H15+'Enkel fastighet'!H19</f>
        <v>180700</v>
      </c>
      <c r="E11" s="13"/>
      <c r="F11" s="13"/>
      <c r="G11" s="13"/>
      <c r="H11" s="13"/>
      <c r="I11" s="13"/>
      <c r="J11" s="13"/>
      <c r="K11" s="13"/>
      <c r="L11" s="13"/>
      <c r="M11" s="17"/>
      <c r="N11" s="13"/>
      <c r="O11" s="13"/>
      <c r="P11" s="13"/>
      <c r="Q11" s="13"/>
      <c r="R11" s="13"/>
      <c r="S11" s="13"/>
      <c r="T11" s="13"/>
      <c r="U11" s="13"/>
      <c r="V11" s="13"/>
    </row>
    <row r="12" spans="1:2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7"/>
      <c r="N12" s="13" t="s">
        <v>21</v>
      </c>
      <c r="O12" s="13"/>
      <c r="P12" s="13"/>
      <c r="Q12" s="13"/>
      <c r="R12" s="13"/>
      <c r="S12" s="13"/>
      <c r="T12" s="13">
        <f>IF(AND(Anläggningsavgift!C4=1,Anläggningsavgift!C6=1,Anläggningsavgift!C8=1),S35,IF(AND(Anläggningsavgift!C4=1,Anläggningsavgift!C6=1,Anläggningsavgift!C8=0),S36,IF(AND(Anläggningsavgift!C4=1,Anläggningsavgift!C6=0,Anläggningsavgift!C8=1),S38,IF(AND(Anläggningsavgift!C4=0,Anläggningsavgift!C6=1,Anläggningsavgift!C8=1),S40,IF(AND(Anläggningsavgift!C4=0,Anläggningsavgift!C6=0,Anläggningsavgift!C8=1),S39,IF(AND(Anläggningsavgift!C4=0,Anläggningsavgift!C6=1,Anläggningsavgift!C8=0),S41,IF(AND(Anläggningsavgift!C4=1,Anläggningsavgift!C6=0,Anläggningsavgift!C8=0),S37,0)))))))</f>
        <v>72000</v>
      </c>
      <c r="U12" s="13"/>
      <c r="V12" s="13">
        <f>IF(AND(T12&gt;(T16+T25)),T16,IF(AND(T12&lt;(T16+T25)),T12,0))</f>
        <v>72000</v>
      </c>
    </row>
    <row r="13" spans="1:22" x14ac:dyDescent="0.25">
      <c r="A13" s="13"/>
      <c r="B13" s="13"/>
      <c r="C13" s="13"/>
      <c r="D13" s="13">
        <f>'Enkel fastighet'!D10*45</f>
        <v>36000</v>
      </c>
      <c r="E13" s="13"/>
      <c r="F13" s="13"/>
      <c r="G13" s="13"/>
      <c r="H13" s="13"/>
      <c r="I13" s="13"/>
      <c r="J13" s="13"/>
      <c r="K13" s="13"/>
      <c r="L13" s="13"/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7"/>
      <c r="N14" s="13" t="s">
        <v>22</v>
      </c>
      <c r="O14" s="13"/>
      <c r="P14" s="13"/>
      <c r="Q14" s="13"/>
      <c r="R14" s="13"/>
      <c r="S14" s="13"/>
      <c r="T14" s="13">
        <f>IF(AND(Anläggningsavgift!C4=1,Anläggningsavgift!C6=1,Anläggningsavgift!C8=1),S49,IF(AND(Anläggningsavgift!C4=1,Anläggningsavgift!C6=1,Anläggningsavgift!C8=0),S50,IF(AND(Anläggningsavgift!C4=1,Anläggningsavgift!C6=0,Anläggningsavgift!C8=1),S52,IF(AND(Anläggningsavgift!C4=0,Anläggningsavgift!C6=1,Anläggningsavgift!C8=1),S53,IF(AND(Anläggningsavgift!C4=0,Anläggningsavgift!C6=0,Anläggningsavgift!C8=1),S54,IF(AND(Anläggningsavgift!C4=0,Anläggningsavgift!C6=1,Anläggningsavgift!C8=0),S55,IF(AND(Anläggningsavgift!C4=1,Anläggningsavgift!C6=0,Anläggningsavgift!C8=0),S51,0)))))))</f>
        <v>69220</v>
      </c>
      <c r="U14" s="13"/>
      <c r="V14" s="13">
        <f>T14*(R4+Anläggningsavgift!D12)</f>
        <v>69220</v>
      </c>
    </row>
    <row r="15" spans="1:22" x14ac:dyDescent="0.25">
      <c r="A15" s="13"/>
      <c r="B15" s="13"/>
      <c r="C15" s="13"/>
      <c r="D15" s="13">
        <f>IF(AND('Enkel fastighet'!C4=1,'Enkel fastighet'!C6=1,'Enkel fastighet'!C8=1),('Enkel fastighet'!H13+'Enkel fastighet'!H15+'Enkel fastighet'!H19),IF(AND('Enkel fastighet'!C6=0),('Enkel fastighet'!H13+'Enkel fastighet'!H15+'Enkel fastighet'!H19+13000),IF(AND('Enkel fastighet'!C4=0,'Enkel fastighet'!C6=1,'Enkel fastighet'!C8=1),(0.5*D13),IF(AND('Enkel fastighet'!C4=1,'Enkel fastighet'!C6=1,'Enkel fastighet'!C8=0),(0.7*D13)))))</f>
        <v>180700</v>
      </c>
      <c r="E15" s="13"/>
      <c r="F15" s="13"/>
      <c r="G15" s="13"/>
      <c r="H15" s="13"/>
      <c r="I15" s="13"/>
      <c r="J15" s="13"/>
      <c r="K15" s="13"/>
      <c r="L15" s="13"/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7"/>
      <c r="N16" s="13" t="s">
        <v>24</v>
      </c>
      <c r="O16" s="13"/>
      <c r="P16" s="13"/>
      <c r="Q16" s="13"/>
      <c r="R16" s="13"/>
      <c r="S16" s="13"/>
      <c r="T16" s="13">
        <f>Anläggningsavgift!G24+Anläggningsavgift!G26+Anläggningsavgift!G30</f>
        <v>255095</v>
      </c>
      <c r="U16" s="13"/>
      <c r="V16" s="13"/>
    </row>
    <row r="17" spans="1:22" x14ac:dyDescent="0.25">
      <c r="A17" s="13"/>
      <c r="B17" s="13"/>
      <c r="C17" s="13"/>
      <c r="D17" s="13">
        <f>(IF(AND(D13&lt;D15),D13,IF(AND(D13&gt;D15),D15)))</f>
        <v>36000</v>
      </c>
      <c r="E17" s="13"/>
      <c r="F17" s="13"/>
      <c r="G17" s="13"/>
      <c r="H17" s="13"/>
      <c r="I17" s="13"/>
      <c r="J17" s="13"/>
      <c r="K17" s="13"/>
      <c r="L17" s="13"/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7"/>
      <c r="N18" s="13" t="s">
        <v>25</v>
      </c>
      <c r="O18" s="13"/>
      <c r="P18" s="13"/>
      <c r="Q18" s="13">
        <f>Anläggningsavgift!C18+Anläggningsavgift!C20+Anläggningsavgift!C22</f>
        <v>0</v>
      </c>
      <c r="R18" s="13"/>
      <c r="S18" s="13"/>
      <c r="T18" s="13">
        <f>IF(AND(Q18=1),70560,IF(AND(Q18=2),90720,IF(AND(Q18=3),100800,0)))</f>
        <v>0</v>
      </c>
      <c r="U18" s="13"/>
      <c r="V18" s="13"/>
    </row>
    <row r="19" spans="1:2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7"/>
      <c r="N20" s="13" t="s">
        <v>26</v>
      </c>
      <c r="O20" s="13"/>
      <c r="P20" s="13">
        <f>SUM(Anläggningsavgift!C18,Anläggningsavgift!C20,Anläggningsavgift!C22)</f>
        <v>0</v>
      </c>
      <c r="Q20" s="13"/>
      <c r="R20" s="13"/>
      <c r="S20" s="13"/>
      <c r="T20" s="13">
        <f>IF(AND(Anläggningsavgift!C4=1,Anläggningsavgift!C6=1,Anläggningsavgift!C8=1),39900,IF(AND(Anläggningsavgift!C4=1,Anläggningsavgift!C6=1,Anläggningsavgift!C8=0),25935,IF(AND(Anläggningsavgift!C4=1,Anläggningsavgift!C6=0,Anläggningsavgift!C8=1),21600,IF(AND(Anläggningsavgift!C4=0,Anläggningsavgift!C6=1,Anläggningsavgift!C8=1),13500,IF(AND(Anläggningsavgift!C4=0,Anläggningsavgift!C6=0,Anläggningsavgift!C8=1),8100,IF(AND(Anläggningsavgift!C4=0,Anläggningsavgift!C6=1,Anläggningsavgift!C8=0),3990,IF(AND(Anläggningsavgift!C4=1,Anläggningsavgift!C6=0,Anläggningsavgift!C8=0),14700,0)))))))</f>
        <v>39900</v>
      </c>
      <c r="U20" s="13"/>
      <c r="V20" s="13">
        <f>T18+T20</f>
        <v>39900</v>
      </c>
    </row>
    <row r="21" spans="1:22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7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8">
        <f>IF(OR(Anläggningsavgift!C18=1,Anläggningsavgift!C20=1,Anläggningsavgift!C22=1),Blad2!V20,0)</f>
        <v>0</v>
      </c>
      <c r="U23" s="13"/>
      <c r="V23" s="13"/>
    </row>
    <row r="24" spans="1:2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 t="s">
        <v>46</v>
      </c>
      <c r="O25" s="13"/>
      <c r="P25" s="13"/>
      <c r="Q25" s="13"/>
      <c r="R25" s="13"/>
      <c r="S25" s="13"/>
      <c r="T25" s="13">
        <f>IF(Anläggningsavgift!C6=0,14700,0)</f>
        <v>0</v>
      </c>
      <c r="U25" s="13"/>
      <c r="V25" s="13"/>
    </row>
    <row r="26" spans="1:2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5.75" thickBo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3"/>
      <c r="B29" s="19"/>
      <c r="C29" s="20"/>
      <c r="D29" s="20"/>
      <c r="E29" s="20"/>
      <c r="F29" s="21"/>
      <c r="G29" s="13"/>
      <c r="H29" s="13"/>
      <c r="I29" s="13"/>
      <c r="J29" s="13"/>
      <c r="K29" s="13"/>
      <c r="L29" s="13"/>
      <c r="M29" s="19"/>
      <c r="N29" s="20"/>
      <c r="O29" s="20"/>
      <c r="P29" s="20"/>
      <c r="Q29" s="20"/>
      <c r="R29" s="20"/>
      <c r="S29" s="20"/>
      <c r="T29" s="21"/>
      <c r="U29" s="13"/>
      <c r="V29" s="13"/>
    </row>
    <row r="30" spans="1:22" x14ac:dyDescent="0.25">
      <c r="A30" s="13"/>
      <c r="B30" s="22"/>
      <c r="C30" s="23" t="s">
        <v>34</v>
      </c>
      <c r="D30" s="24"/>
      <c r="E30" s="24"/>
      <c r="F30" s="25"/>
      <c r="G30" s="13"/>
      <c r="H30" s="13"/>
      <c r="I30" s="13"/>
      <c r="J30" s="13"/>
      <c r="K30" s="13"/>
      <c r="L30" s="13"/>
      <c r="M30" s="22"/>
      <c r="N30" s="23" t="s">
        <v>30</v>
      </c>
      <c r="O30" s="24"/>
      <c r="P30" s="24"/>
      <c r="Q30" s="24"/>
      <c r="R30" s="24"/>
      <c r="S30" s="24"/>
      <c r="T30" s="25"/>
      <c r="U30" s="13"/>
      <c r="V30" s="13"/>
    </row>
    <row r="31" spans="1:22" x14ac:dyDescent="0.25">
      <c r="A31" s="13"/>
      <c r="B31" s="22"/>
      <c r="C31" s="24"/>
      <c r="D31" s="24"/>
      <c r="E31" s="24"/>
      <c r="F31" s="25"/>
      <c r="G31" s="13"/>
      <c r="H31" s="13"/>
      <c r="I31" s="13"/>
      <c r="J31" s="13"/>
      <c r="K31" s="13"/>
      <c r="L31" s="13"/>
      <c r="M31" s="22"/>
      <c r="N31" s="24"/>
      <c r="O31" s="24"/>
      <c r="P31" s="24"/>
      <c r="Q31" s="24"/>
      <c r="R31" s="24"/>
      <c r="S31" s="24"/>
      <c r="T31" s="25"/>
      <c r="U31" s="13"/>
      <c r="V31" s="13"/>
    </row>
    <row r="32" spans="1:22" x14ac:dyDescent="0.25">
      <c r="A32" s="13"/>
      <c r="B32" s="22"/>
      <c r="C32" s="23" t="s">
        <v>36</v>
      </c>
      <c r="D32" s="24">
        <v>134125</v>
      </c>
      <c r="E32" s="24"/>
      <c r="F32" s="25"/>
      <c r="G32" s="13"/>
      <c r="H32" s="13"/>
      <c r="I32" s="13"/>
      <c r="J32" s="13"/>
      <c r="K32" s="13"/>
      <c r="L32" s="13"/>
      <c r="M32" s="22"/>
      <c r="N32" s="23" t="s">
        <v>31</v>
      </c>
      <c r="O32" s="24"/>
      <c r="P32" s="24">
        <v>90</v>
      </c>
      <c r="Q32" s="24"/>
      <c r="R32" s="24"/>
      <c r="S32" s="24"/>
      <c r="T32" s="25"/>
      <c r="U32" s="13"/>
      <c r="V32" s="13"/>
    </row>
    <row r="33" spans="1:22" ht="15.75" thickBot="1" x14ac:dyDescent="0.3">
      <c r="A33" s="13"/>
      <c r="B33" s="22"/>
      <c r="C33" s="24"/>
      <c r="D33" s="24"/>
      <c r="E33" s="24"/>
      <c r="F33" s="25"/>
      <c r="G33" s="13"/>
      <c r="H33" s="13"/>
      <c r="I33" s="13"/>
      <c r="J33" s="13"/>
      <c r="K33" s="13"/>
      <c r="L33" s="13"/>
      <c r="M33" s="22"/>
      <c r="N33" s="24"/>
      <c r="O33" s="24"/>
      <c r="P33" s="24"/>
      <c r="Q33" s="24"/>
      <c r="R33" s="24"/>
      <c r="S33" s="24"/>
      <c r="T33" s="25"/>
      <c r="U33" s="13"/>
      <c r="V33" s="13"/>
    </row>
    <row r="34" spans="1:22" ht="15.75" thickBot="1" x14ac:dyDescent="0.3">
      <c r="A34" s="13"/>
      <c r="B34" s="22"/>
      <c r="C34" s="26" t="s">
        <v>35</v>
      </c>
      <c r="D34" s="27"/>
      <c r="E34" s="28"/>
      <c r="F34" s="25"/>
      <c r="G34" s="13"/>
      <c r="H34" s="13"/>
      <c r="I34" s="13"/>
      <c r="J34" s="13"/>
      <c r="K34" s="13"/>
      <c r="L34" s="13"/>
      <c r="M34" s="22"/>
      <c r="N34" s="24"/>
      <c r="O34" s="29" t="s">
        <v>32</v>
      </c>
      <c r="P34" s="30" t="s">
        <v>2</v>
      </c>
      <c r="Q34" s="30" t="s">
        <v>1</v>
      </c>
      <c r="R34" s="30"/>
      <c r="S34" s="31" t="s">
        <v>21</v>
      </c>
      <c r="T34" s="25"/>
      <c r="U34" s="13"/>
      <c r="V34" s="13"/>
    </row>
    <row r="35" spans="1:22" x14ac:dyDescent="0.25">
      <c r="A35" s="13"/>
      <c r="B35" s="22"/>
      <c r="C35" s="22" t="s">
        <v>37</v>
      </c>
      <c r="D35" s="32">
        <v>0.8</v>
      </c>
      <c r="E35" s="25">
        <f>D35*D32</f>
        <v>107300</v>
      </c>
      <c r="F35" s="25"/>
      <c r="G35" s="13"/>
      <c r="H35" s="13"/>
      <c r="I35" s="13"/>
      <c r="J35" s="13"/>
      <c r="K35" s="13"/>
      <c r="L35" s="13"/>
      <c r="M35" s="22"/>
      <c r="N35" s="24"/>
      <c r="O35" s="33">
        <v>1</v>
      </c>
      <c r="P35" s="34">
        <v>1</v>
      </c>
      <c r="Q35" s="35">
        <v>1</v>
      </c>
      <c r="R35" s="34"/>
      <c r="S35" s="36">
        <f>1*P32*Anläggningsavgift!D10</f>
        <v>72000</v>
      </c>
      <c r="T35" s="25"/>
      <c r="U35" s="13"/>
      <c r="V35" s="13"/>
    </row>
    <row r="36" spans="1:22" x14ac:dyDescent="0.25">
      <c r="A36" s="13"/>
      <c r="B36" s="22"/>
      <c r="C36" s="22" t="s">
        <v>38</v>
      </c>
      <c r="D36" s="32">
        <v>0.9</v>
      </c>
      <c r="E36" s="25">
        <f>D36*D32</f>
        <v>120712.5</v>
      </c>
      <c r="F36" s="25"/>
      <c r="G36" s="13"/>
      <c r="H36" s="13"/>
      <c r="I36" s="13"/>
      <c r="J36" s="13"/>
      <c r="K36" s="13"/>
      <c r="L36" s="13"/>
      <c r="M36" s="22"/>
      <c r="N36" s="24"/>
      <c r="O36" s="33">
        <v>1</v>
      </c>
      <c r="P36" s="37">
        <v>1</v>
      </c>
      <c r="Q36" s="35">
        <v>0</v>
      </c>
      <c r="R36" s="37"/>
      <c r="S36" s="36">
        <f>0.9*P32*Anläggningsavgift!D10</f>
        <v>64800</v>
      </c>
      <c r="T36" s="25"/>
      <c r="U36" s="13"/>
      <c r="V36" s="13"/>
    </row>
    <row r="37" spans="1:22" ht="15.75" thickBot="1" x14ac:dyDescent="0.3">
      <c r="A37" s="13"/>
      <c r="B37" s="22"/>
      <c r="C37" s="38" t="s">
        <v>39</v>
      </c>
      <c r="D37" s="39">
        <v>1</v>
      </c>
      <c r="E37" s="40">
        <f>D37*D32</f>
        <v>134125</v>
      </c>
      <c r="F37" s="25"/>
      <c r="G37" s="13"/>
      <c r="H37" s="13"/>
      <c r="I37" s="13"/>
      <c r="J37" s="13"/>
      <c r="K37" s="13"/>
      <c r="L37" s="13"/>
      <c r="M37" s="22"/>
      <c r="N37" s="24"/>
      <c r="O37" s="33">
        <v>1</v>
      </c>
      <c r="P37" s="37">
        <v>0</v>
      </c>
      <c r="Q37" s="35">
        <v>0</v>
      </c>
      <c r="R37" s="37"/>
      <c r="S37" s="36">
        <f>0.55*P32*Anläggningsavgift!D10</f>
        <v>39600.000000000007</v>
      </c>
      <c r="T37" s="25"/>
      <c r="U37" s="13"/>
      <c r="V37" s="13"/>
    </row>
    <row r="38" spans="1:22" ht="15.75" thickBot="1" x14ac:dyDescent="0.3">
      <c r="A38" s="13"/>
      <c r="B38" s="38"/>
      <c r="C38" s="41"/>
      <c r="D38" s="41"/>
      <c r="E38" s="41"/>
      <c r="F38" s="40"/>
      <c r="G38" s="13"/>
      <c r="H38" s="13"/>
      <c r="I38" s="13"/>
      <c r="J38" s="13"/>
      <c r="K38" s="13"/>
      <c r="L38" s="13"/>
      <c r="M38" s="22"/>
      <c r="N38" s="24"/>
      <c r="O38" s="33">
        <v>1</v>
      </c>
      <c r="P38" s="37">
        <v>0</v>
      </c>
      <c r="Q38" s="35">
        <v>1</v>
      </c>
      <c r="R38" s="37"/>
      <c r="S38" s="36">
        <f>0.65*P32*Anläggningsavgift!D10</f>
        <v>46800</v>
      </c>
      <c r="T38" s="25"/>
      <c r="U38" s="13"/>
      <c r="V38" s="13"/>
    </row>
    <row r="39" spans="1:22" ht="15.75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2"/>
      <c r="N39" s="24"/>
      <c r="O39" s="33">
        <v>0</v>
      </c>
      <c r="P39" s="37">
        <v>0</v>
      </c>
      <c r="Q39" s="35">
        <v>1</v>
      </c>
      <c r="R39" s="37"/>
      <c r="S39" s="36">
        <f>0.1*P32*Anläggningsavgift!D10</f>
        <v>7200</v>
      </c>
      <c r="T39" s="25"/>
      <c r="U39" s="13"/>
      <c r="V39" s="13"/>
    </row>
    <row r="40" spans="1:22" x14ac:dyDescent="0.25">
      <c r="A40" s="13"/>
      <c r="B40" s="19" t="s">
        <v>46</v>
      </c>
      <c r="C40" s="20"/>
      <c r="D40" s="20"/>
      <c r="E40" s="20"/>
      <c r="F40" s="20"/>
      <c r="G40" s="20"/>
      <c r="H40" s="20">
        <v>18400</v>
      </c>
      <c r="I40" s="21"/>
      <c r="J40" s="13"/>
      <c r="K40" s="13"/>
      <c r="L40" s="13"/>
      <c r="M40" s="22"/>
      <c r="N40" s="24"/>
      <c r="O40" s="33">
        <v>0</v>
      </c>
      <c r="P40" s="37">
        <v>1</v>
      </c>
      <c r="Q40" s="35">
        <v>1</v>
      </c>
      <c r="R40" s="37"/>
      <c r="S40" s="36">
        <f>0.45*P32*Anläggningsavgift!D10</f>
        <v>32400</v>
      </c>
      <c r="T40" s="25"/>
      <c r="U40" s="13"/>
      <c r="V40" s="13"/>
    </row>
    <row r="41" spans="1:22" ht="15.75" thickBot="1" x14ac:dyDescent="0.3">
      <c r="A41" s="13"/>
      <c r="B41" s="38"/>
      <c r="C41" s="41"/>
      <c r="D41" s="41"/>
      <c r="E41" s="41"/>
      <c r="F41" s="41"/>
      <c r="G41" s="41"/>
      <c r="H41" s="41"/>
      <c r="I41" s="40"/>
      <c r="J41" s="13"/>
      <c r="K41" s="13"/>
      <c r="L41" s="13"/>
      <c r="M41" s="22"/>
      <c r="N41" s="24"/>
      <c r="O41" s="42">
        <v>0</v>
      </c>
      <c r="P41" s="43">
        <v>1</v>
      </c>
      <c r="Q41" s="44">
        <v>0</v>
      </c>
      <c r="R41" s="43"/>
      <c r="S41" s="45">
        <f>0.35*P32*Anläggningsavgift!D10</f>
        <v>25199.999999999996</v>
      </c>
      <c r="T41" s="25"/>
      <c r="U41" s="13"/>
      <c r="V41" s="13"/>
    </row>
    <row r="42" spans="1:22" ht="15.75" thickBo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8"/>
      <c r="N42" s="41"/>
      <c r="O42" s="41"/>
      <c r="P42" s="41"/>
      <c r="Q42" s="41"/>
      <c r="R42" s="41"/>
      <c r="S42" s="41"/>
      <c r="T42" s="40"/>
      <c r="U42" s="13"/>
      <c r="V42" s="13"/>
    </row>
    <row r="43" spans="1:22" ht="15.75" thickBo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5">
      <c r="A44" s="13"/>
      <c r="B44" s="19"/>
      <c r="C44" s="20"/>
      <c r="D44" s="20"/>
      <c r="E44" s="20"/>
      <c r="F44" s="20"/>
      <c r="G44" s="20"/>
      <c r="H44" s="20"/>
      <c r="I44" s="20"/>
      <c r="J44" s="21"/>
      <c r="K44" s="13"/>
      <c r="L44" s="13"/>
      <c r="M44" s="19"/>
      <c r="N44" s="46" t="s">
        <v>33</v>
      </c>
      <c r="O44" s="20"/>
      <c r="P44" s="20"/>
      <c r="Q44" s="20"/>
      <c r="R44" s="20"/>
      <c r="S44" s="20"/>
      <c r="T44" s="21"/>
      <c r="U44" s="13"/>
      <c r="V44" s="13"/>
    </row>
    <row r="45" spans="1:22" x14ac:dyDescent="0.25">
      <c r="A45" s="13"/>
      <c r="B45" s="22"/>
      <c r="C45" s="23" t="s">
        <v>40</v>
      </c>
      <c r="D45" s="24"/>
      <c r="E45" s="24"/>
      <c r="F45" s="24"/>
      <c r="G45" s="24"/>
      <c r="H45" s="24"/>
      <c r="I45" s="24"/>
      <c r="J45" s="25"/>
      <c r="K45" s="13"/>
      <c r="L45" s="13"/>
      <c r="M45" s="22"/>
      <c r="N45" s="24"/>
      <c r="O45" s="24"/>
      <c r="P45" s="24"/>
      <c r="Q45" s="24"/>
      <c r="R45" s="24"/>
      <c r="S45" s="24"/>
      <c r="T45" s="25"/>
      <c r="U45" s="13"/>
      <c r="V45" s="13"/>
    </row>
    <row r="46" spans="1:22" x14ac:dyDescent="0.25">
      <c r="A46" s="13"/>
      <c r="B46" s="22"/>
      <c r="C46" s="24"/>
      <c r="D46" s="24"/>
      <c r="E46" s="24"/>
      <c r="F46" s="24"/>
      <c r="G46" s="24"/>
      <c r="H46" s="24"/>
      <c r="I46" s="24"/>
      <c r="J46" s="25"/>
      <c r="K46" s="13"/>
      <c r="L46" s="13"/>
      <c r="M46" s="22"/>
      <c r="N46" s="23" t="s">
        <v>22</v>
      </c>
      <c r="O46" s="24"/>
      <c r="P46" s="24">
        <v>69220</v>
      </c>
      <c r="Q46" s="24"/>
      <c r="R46" s="24"/>
      <c r="S46" s="24"/>
      <c r="T46" s="25"/>
      <c r="U46" s="13"/>
      <c r="V46" s="13"/>
    </row>
    <row r="47" spans="1:22" ht="15.75" thickBot="1" x14ac:dyDescent="0.3">
      <c r="A47" s="13"/>
      <c r="B47" s="22"/>
      <c r="C47" s="23" t="s">
        <v>41</v>
      </c>
      <c r="D47" s="24"/>
      <c r="E47" s="24">
        <v>51750</v>
      </c>
      <c r="F47" s="24"/>
      <c r="G47" s="24"/>
      <c r="H47" s="24"/>
      <c r="I47" s="24"/>
      <c r="J47" s="25"/>
      <c r="K47" s="13"/>
      <c r="L47" s="13"/>
      <c r="M47" s="22"/>
      <c r="N47" s="24"/>
      <c r="O47" s="24"/>
      <c r="P47" s="24"/>
      <c r="Q47" s="24"/>
      <c r="R47" s="24"/>
      <c r="S47" s="24"/>
      <c r="T47" s="25"/>
      <c r="U47" s="13"/>
      <c r="V47" s="13"/>
    </row>
    <row r="48" spans="1:22" ht="15.75" thickBot="1" x14ac:dyDescent="0.3">
      <c r="A48" s="13"/>
      <c r="B48" s="22"/>
      <c r="C48" s="24"/>
      <c r="D48" s="24"/>
      <c r="E48" s="24"/>
      <c r="F48" s="24"/>
      <c r="G48" s="24"/>
      <c r="H48" s="24"/>
      <c r="I48" s="24"/>
      <c r="J48" s="25"/>
      <c r="K48" s="13"/>
      <c r="L48" s="13"/>
      <c r="M48" s="22"/>
      <c r="N48" s="24"/>
      <c r="O48" s="47" t="s">
        <v>32</v>
      </c>
      <c r="P48" s="48" t="s">
        <v>1</v>
      </c>
      <c r="Q48" s="48" t="s">
        <v>2</v>
      </c>
      <c r="R48" s="49"/>
      <c r="S48" s="50" t="s">
        <v>22</v>
      </c>
      <c r="T48" s="25"/>
      <c r="U48" s="13"/>
      <c r="V48" s="13"/>
    </row>
    <row r="49" spans="1:22" ht="15.75" thickBot="1" x14ac:dyDescent="0.3">
      <c r="A49" s="13"/>
      <c r="B49" s="22"/>
      <c r="C49" s="51" t="s">
        <v>42</v>
      </c>
      <c r="D49" s="52" t="s">
        <v>43</v>
      </c>
      <c r="E49" s="24"/>
      <c r="F49" s="47" t="s">
        <v>0</v>
      </c>
      <c r="G49" s="48" t="s">
        <v>1</v>
      </c>
      <c r="H49" s="48" t="s">
        <v>2</v>
      </c>
      <c r="I49" s="50" t="s">
        <v>44</v>
      </c>
      <c r="J49" s="25"/>
      <c r="K49" s="13"/>
      <c r="L49" s="13"/>
      <c r="M49" s="22"/>
      <c r="N49" s="24"/>
      <c r="O49" s="33">
        <v>1</v>
      </c>
      <c r="P49" s="34">
        <v>1</v>
      </c>
      <c r="Q49" s="35">
        <v>1</v>
      </c>
      <c r="R49" s="53"/>
      <c r="S49" s="36">
        <f>P46*1</f>
        <v>69220</v>
      </c>
      <c r="T49" s="25"/>
      <c r="U49" s="13"/>
      <c r="V49" s="13"/>
    </row>
    <row r="50" spans="1:22" x14ac:dyDescent="0.25">
      <c r="A50" s="13"/>
      <c r="B50" s="22"/>
      <c r="C50" s="54" t="s">
        <v>0</v>
      </c>
      <c r="D50" s="35">
        <v>0.55000000000000004</v>
      </c>
      <c r="E50" s="24"/>
      <c r="F50" s="55">
        <v>1</v>
      </c>
      <c r="G50" s="34">
        <v>1</v>
      </c>
      <c r="H50" s="34">
        <v>1</v>
      </c>
      <c r="I50" s="56">
        <f>E47</f>
        <v>51750</v>
      </c>
      <c r="J50" s="25"/>
      <c r="K50" s="13"/>
      <c r="L50" s="13"/>
      <c r="M50" s="22"/>
      <c r="N50" s="24"/>
      <c r="O50" s="33">
        <v>1</v>
      </c>
      <c r="P50" s="37">
        <v>1</v>
      </c>
      <c r="Q50" s="35">
        <v>0</v>
      </c>
      <c r="R50" s="32"/>
      <c r="S50" s="36">
        <f>0.65*P46</f>
        <v>44993</v>
      </c>
      <c r="T50" s="25"/>
      <c r="U50" s="13"/>
      <c r="V50" s="13"/>
    </row>
    <row r="51" spans="1:22" x14ac:dyDescent="0.25">
      <c r="A51" s="13"/>
      <c r="B51" s="22"/>
      <c r="C51" s="54" t="s">
        <v>1</v>
      </c>
      <c r="D51" s="35">
        <v>0.1</v>
      </c>
      <c r="E51" s="24"/>
      <c r="F51" s="33">
        <v>1</v>
      </c>
      <c r="G51" s="37">
        <v>1</v>
      </c>
      <c r="H51" s="37">
        <v>0</v>
      </c>
      <c r="I51" s="36">
        <f>E47*(D50+D51)</f>
        <v>33637.5</v>
      </c>
      <c r="J51" s="25"/>
      <c r="K51" s="13"/>
      <c r="L51" s="13"/>
      <c r="M51" s="22"/>
      <c r="N51" s="24"/>
      <c r="O51" s="33">
        <v>1</v>
      </c>
      <c r="P51" s="37">
        <v>0</v>
      </c>
      <c r="Q51" s="35">
        <v>0</v>
      </c>
      <c r="R51" s="32"/>
      <c r="S51" s="36">
        <f>0.55*P46</f>
        <v>38071</v>
      </c>
      <c r="T51" s="25"/>
      <c r="U51" s="13"/>
      <c r="V51" s="13"/>
    </row>
    <row r="52" spans="1:22" x14ac:dyDescent="0.25">
      <c r="A52" s="13"/>
      <c r="B52" s="22"/>
      <c r="C52" s="54" t="s">
        <v>2</v>
      </c>
      <c r="D52" s="35">
        <v>0.35</v>
      </c>
      <c r="E52" s="24"/>
      <c r="F52" s="33">
        <v>1</v>
      </c>
      <c r="G52" s="37">
        <v>0</v>
      </c>
      <c r="H52" s="37">
        <v>0</v>
      </c>
      <c r="I52" s="36">
        <f>E47*D50</f>
        <v>28462.500000000004</v>
      </c>
      <c r="J52" s="25"/>
      <c r="K52" s="13"/>
      <c r="L52" s="13"/>
      <c r="M52" s="22"/>
      <c r="N52" s="24"/>
      <c r="O52" s="33">
        <v>1</v>
      </c>
      <c r="P52" s="37">
        <v>0</v>
      </c>
      <c r="Q52" s="35">
        <v>1</v>
      </c>
      <c r="R52" s="32"/>
      <c r="S52" s="36">
        <f>0.9*P46</f>
        <v>62298</v>
      </c>
      <c r="T52" s="25"/>
      <c r="U52" s="13"/>
      <c r="V52" s="13"/>
    </row>
    <row r="53" spans="1:22" x14ac:dyDescent="0.25">
      <c r="A53" s="13"/>
      <c r="B53" s="22"/>
      <c r="C53" s="24"/>
      <c r="D53" s="24"/>
      <c r="E53" s="24"/>
      <c r="F53" s="33">
        <v>1</v>
      </c>
      <c r="G53" s="37">
        <v>0</v>
      </c>
      <c r="H53" s="37">
        <v>1</v>
      </c>
      <c r="I53" s="36">
        <f>E47*(D50+D52)</f>
        <v>46575</v>
      </c>
      <c r="J53" s="25"/>
      <c r="K53" s="13"/>
      <c r="L53" s="13"/>
      <c r="M53" s="22"/>
      <c r="N53" s="24"/>
      <c r="O53" s="33">
        <v>0</v>
      </c>
      <c r="P53" s="37">
        <v>1</v>
      </c>
      <c r="Q53" s="35">
        <v>1</v>
      </c>
      <c r="R53" s="32"/>
      <c r="S53" s="36">
        <f>0.45*P46</f>
        <v>31149</v>
      </c>
      <c r="T53" s="25"/>
      <c r="U53" s="13"/>
      <c r="V53" s="13"/>
    </row>
    <row r="54" spans="1:22" x14ac:dyDescent="0.25">
      <c r="A54" s="13"/>
      <c r="B54" s="22"/>
      <c r="C54" s="24"/>
      <c r="D54" s="24"/>
      <c r="E54" s="24"/>
      <c r="F54" s="33">
        <v>0</v>
      </c>
      <c r="G54" s="37">
        <v>0</v>
      </c>
      <c r="H54" s="37">
        <v>1</v>
      </c>
      <c r="I54" s="36">
        <f>E47*D52</f>
        <v>18112.5</v>
      </c>
      <c r="J54" s="25"/>
      <c r="K54" s="13"/>
      <c r="L54" s="13"/>
      <c r="M54" s="22"/>
      <c r="N54" s="24"/>
      <c r="O54" s="33">
        <v>0</v>
      </c>
      <c r="P54" s="37">
        <v>0</v>
      </c>
      <c r="Q54" s="35">
        <v>1</v>
      </c>
      <c r="R54" s="32"/>
      <c r="S54" s="36">
        <f>0.35*P46</f>
        <v>24227</v>
      </c>
      <c r="T54" s="25"/>
      <c r="U54" s="13"/>
      <c r="V54" s="13"/>
    </row>
    <row r="55" spans="1:22" ht="15.75" thickBot="1" x14ac:dyDescent="0.3">
      <c r="A55" s="13"/>
      <c r="B55" s="22"/>
      <c r="C55" s="24"/>
      <c r="D55" s="24"/>
      <c r="E55" s="24"/>
      <c r="F55" s="33">
        <v>0</v>
      </c>
      <c r="G55" s="37">
        <v>1</v>
      </c>
      <c r="H55" s="37">
        <v>1</v>
      </c>
      <c r="I55" s="36">
        <f>E47*(D51+D52)</f>
        <v>23287.499999999996</v>
      </c>
      <c r="J55" s="25"/>
      <c r="K55" s="13"/>
      <c r="L55" s="13"/>
      <c r="M55" s="22"/>
      <c r="N55" s="24"/>
      <c r="O55" s="42">
        <v>0</v>
      </c>
      <c r="P55" s="43">
        <v>1</v>
      </c>
      <c r="Q55" s="44">
        <v>0</v>
      </c>
      <c r="R55" s="39"/>
      <c r="S55" s="45">
        <f>0.1*P46</f>
        <v>6922</v>
      </c>
      <c r="T55" s="25"/>
      <c r="U55" s="13"/>
      <c r="V55" s="13"/>
    </row>
    <row r="56" spans="1:22" ht="15.75" thickBot="1" x14ac:dyDescent="0.3">
      <c r="A56" s="13"/>
      <c r="B56" s="22"/>
      <c r="C56" s="24"/>
      <c r="D56" s="24"/>
      <c r="E56" s="24"/>
      <c r="F56" s="42">
        <v>0</v>
      </c>
      <c r="G56" s="43">
        <v>1</v>
      </c>
      <c r="H56" s="43">
        <v>0</v>
      </c>
      <c r="I56" s="45">
        <f>E47*D51</f>
        <v>5175</v>
      </c>
      <c r="J56" s="25"/>
      <c r="K56" s="13"/>
      <c r="L56" s="13"/>
      <c r="M56" s="38"/>
      <c r="N56" s="41"/>
      <c r="O56" s="41"/>
      <c r="P56" s="41"/>
      <c r="Q56" s="41"/>
      <c r="R56" s="41"/>
      <c r="S56" s="41"/>
      <c r="T56" s="40"/>
      <c r="U56" s="13"/>
      <c r="V56" s="13"/>
    </row>
    <row r="57" spans="1:22" ht="15.75" thickBot="1" x14ac:dyDescent="0.3">
      <c r="A57" s="13"/>
      <c r="B57" s="38"/>
      <c r="C57" s="41"/>
      <c r="D57" s="41"/>
      <c r="E57" s="41"/>
      <c r="F57" s="41"/>
      <c r="G57" s="41"/>
      <c r="H57" s="41"/>
      <c r="I57" s="41"/>
      <c r="J57" s="40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</sheetData>
  <sheetProtection algorithmName="SHA-512" hashValue="cgjqXbO3msTyya4Rd6/ptwWxFILTroRSPsOQELkRR2bjVBqZmCGD+pKM2X1diA/hTpDCNifq4z5zRFZFHlZ4Jw==" saltValue="0VAEcXSJqPQ8kNm09WV2Ug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9" sqref="C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6"/>
  <sheetViews>
    <sheetView tabSelected="1" topLeftCell="A13" zoomScaleNormal="100" workbookViewId="0">
      <selection activeCell="G26" sqref="G26"/>
    </sheetView>
  </sheetViews>
  <sheetFormatPr defaultColWidth="9.140625" defaultRowHeight="15" x14ac:dyDescent="0.25"/>
  <cols>
    <col min="1" max="1" width="9.140625" style="1"/>
    <col min="2" max="2" width="13.5703125" style="1" customWidth="1"/>
    <col min="3" max="16384" width="9.140625" style="1"/>
  </cols>
  <sheetData>
    <row r="2" spans="2:8" x14ac:dyDescent="0.25">
      <c r="B2" s="67" t="s">
        <v>28</v>
      </c>
      <c r="C2" s="67"/>
      <c r="D2" s="68"/>
      <c r="E2" s="68"/>
      <c r="F2" s="68"/>
      <c r="G2" s="64"/>
      <c r="H2" s="64"/>
    </row>
    <row r="3" spans="2:8" ht="15.75" thickBot="1" x14ac:dyDescent="0.3">
      <c r="B3" s="2"/>
      <c r="C3" s="2"/>
      <c r="D3" s="2"/>
      <c r="E3" s="2"/>
    </row>
    <row r="4" spans="2:8" ht="15.75" thickBot="1" x14ac:dyDescent="0.3">
      <c r="B4" s="11" t="s">
        <v>0</v>
      </c>
      <c r="C4" s="4">
        <v>1</v>
      </c>
      <c r="D4" s="2"/>
      <c r="E4" s="2"/>
    </row>
    <row r="5" spans="2:8" ht="15.75" thickBot="1" x14ac:dyDescent="0.3">
      <c r="B5" s="2"/>
      <c r="C5" s="2"/>
      <c r="D5" s="2"/>
      <c r="E5" s="2"/>
    </row>
    <row r="6" spans="2:8" ht="15.75" thickBot="1" x14ac:dyDescent="0.3">
      <c r="B6" s="11" t="s">
        <v>1</v>
      </c>
      <c r="C6" s="4">
        <v>1</v>
      </c>
      <c r="D6" s="2"/>
      <c r="E6" s="2"/>
    </row>
    <row r="7" spans="2:8" ht="15.75" thickBot="1" x14ac:dyDescent="0.3">
      <c r="B7" s="2"/>
      <c r="C7" s="2"/>
      <c r="D7" s="2"/>
      <c r="E7" s="2"/>
    </row>
    <row r="8" spans="2:8" ht="15.75" thickBot="1" x14ac:dyDescent="0.3">
      <c r="B8" s="11" t="s">
        <v>2</v>
      </c>
      <c r="C8" s="4">
        <v>1</v>
      </c>
      <c r="D8" s="2"/>
      <c r="E8" s="2"/>
    </row>
    <row r="9" spans="2:8" ht="15.75" thickBot="1" x14ac:dyDescent="0.3">
      <c r="B9" s="2"/>
      <c r="C9" s="5"/>
      <c r="D9" s="2"/>
      <c r="E9" s="2"/>
    </row>
    <row r="10" spans="2:8" ht="18" thickBot="1" x14ac:dyDescent="0.3">
      <c r="B10" s="62" t="s">
        <v>6</v>
      </c>
      <c r="C10" s="63"/>
      <c r="D10" s="4">
        <v>800</v>
      </c>
      <c r="E10" s="6" t="s">
        <v>8</v>
      </c>
    </row>
    <row r="11" spans="2:8" ht="15.75" thickBot="1" x14ac:dyDescent="0.3"/>
    <row r="12" spans="2:8" ht="15.75" thickBot="1" x14ac:dyDescent="0.3">
      <c r="B12" s="62" t="s">
        <v>12</v>
      </c>
      <c r="C12" s="63"/>
      <c r="D12" s="4">
        <v>1</v>
      </c>
      <c r="E12" s="6" t="s">
        <v>13</v>
      </c>
    </row>
    <row r="13" spans="2:8" ht="15.75" thickBot="1" x14ac:dyDescent="0.3"/>
    <row r="14" spans="2:8" ht="18" thickBot="1" x14ac:dyDescent="0.3">
      <c r="B14" s="63" t="s">
        <v>18</v>
      </c>
      <c r="C14" s="64"/>
      <c r="D14" s="4">
        <v>0</v>
      </c>
      <c r="E14" s="6" t="s">
        <v>8</v>
      </c>
    </row>
    <row r="16" spans="2:8" x14ac:dyDescent="0.25">
      <c r="B16" s="12" t="s">
        <v>25</v>
      </c>
    </row>
    <row r="17" spans="1:10" ht="15.75" thickBot="1" x14ac:dyDescent="0.3"/>
    <row r="18" spans="1:10" ht="15.75" thickBot="1" x14ac:dyDescent="0.3">
      <c r="B18" s="11" t="s">
        <v>0</v>
      </c>
      <c r="C18" s="4">
        <v>0</v>
      </c>
    </row>
    <row r="19" spans="1:10" ht="15.75" thickBot="1" x14ac:dyDescent="0.3">
      <c r="B19" s="2"/>
      <c r="C19" s="8"/>
    </row>
    <row r="20" spans="1:10" ht="15.75" thickBot="1" x14ac:dyDescent="0.3">
      <c r="B20" s="11" t="s">
        <v>1</v>
      </c>
      <c r="C20" s="4">
        <v>0</v>
      </c>
    </row>
    <row r="21" spans="1:10" ht="15.75" thickBot="1" x14ac:dyDescent="0.3">
      <c r="B21" s="2"/>
      <c r="C21" s="8"/>
    </row>
    <row r="22" spans="1:10" ht="15.75" thickBot="1" x14ac:dyDescent="0.3">
      <c r="B22" s="11" t="s">
        <v>2</v>
      </c>
      <c r="C22" s="4">
        <v>0</v>
      </c>
    </row>
    <row r="23" spans="1:10" ht="15.75" thickBot="1" x14ac:dyDescent="0.3"/>
    <row r="24" spans="1:10" ht="15.75" thickBot="1" x14ac:dyDescent="0.3">
      <c r="A24" s="13"/>
      <c r="B24" s="62" t="s">
        <v>3</v>
      </c>
      <c r="C24" s="63"/>
      <c r="D24" s="63"/>
      <c r="E24" s="63"/>
      <c r="F24" s="63"/>
      <c r="G24" s="10">
        <f>Blad2!T8</f>
        <v>134125</v>
      </c>
      <c r="H24" s="13"/>
      <c r="I24" s="13"/>
      <c r="J24" s="13"/>
    </row>
    <row r="25" spans="1:10" ht="15.75" thickBot="1" x14ac:dyDescent="0.3">
      <c r="A25" s="13"/>
      <c r="B25" s="13"/>
      <c r="C25" s="13"/>
      <c r="D25" s="13"/>
      <c r="E25" s="13"/>
      <c r="F25" s="13"/>
      <c r="G25" s="16"/>
      <c r="H25" s="13"/>
      <c r="I25" s="13"/>
      <c r="J25" s="13"/>
    </row>
    <row r="26" spans="1:10" ht="15.75" thickBot="1" x14ac:dyDescent="0.3">
      <c r="A26" s="13"/>
      <c r="B26" s="62" t="s">
        <v>9</v>
      </c>
      <c r="C26" s="63"/>
      <c r="D26" s="63"/>
      <c r="E26" s="13"/>
      <c r="F26" s="13"/>
      <c r="G26" s="10">
        <f>Blad2!T10</f>
        <v>51750</v>
      </c>
      <c r="H26" s="13"/>
      <c r="I26" s="13"/>
      <c r="J26" s="13"/>
    </row>
    <row r="27" spans="1:10" ht="15.75" thickBot="1" x14ac:dyDescent="0.3">
      <c r="A27" s="13"/>
      <c r="B27" s="13"/>
      <c r="C27" s="13"/>
      <c r="D27" s="13"/>
      <c r="E27" s="13"/>
      <c r="F27" s="13"/>
      <c r="G27" s="16"/>
      <c r="H27" s="13"/>
      <c r="I27" s="13"/>
      <c r="J27" s="13"/>
    </row>
    <row r="28" spans="1:10" ht="15.75" thickBot="1" x14ac:dyDescent="0.3">
      <c r="A28" s="13"/>
      <c r="B28" s="62" t="s">
        <v>10</v>
      </c>
      <c r="C28" s="63"/>
      <c r="D28" s="63"/>
      <c r="E28" s="13"/>
      <c r="F28" s="13"/>
      <c r="G28" s="10">
        <f>Blad2!V12</f>
        <v>72000</v>
      </c>
      <c r="H28" s="13"/>
      <c r="I28" s="13"/>
      <c r="J28" s="13"/>
    </row>
    <row r="29" spans="1:10" ht="15.75" thickBot="1" x14ac:dyDescent="0.3">
      <c r="A29" s="13"/>
      <c r="B29" s="13"/>
      <c r="C29" s="13"/>
      <c r="D29" s="13"/>
      <c r="E29" s="13"/>
      <c r="F29" s="13"/>
      <c r="G29" s="16"/>
      <c r="H29" s="13"/>
      <c r="I29" s="13"/>
      <c r="J29" s="13"/>
    </row>
    <row r="30" spans="1:10" ht="15.75" thickBot="1" x14ac:dyDescent="0.3">
      <c r="A30" s="13"/>
      <c r="B30" s="62" t="s">
        <v>23</v>
      </c>
      <c r="C30" s="63"/>
      <c r="D30" s="64"/>
      <c r="E30" s="13"/>
      <c r="F30" s="13"/>
      <c r="G30" s="10">
        <f>Blad2!V14</f>
        <v>69220</v>
      </c>
      <c r="H30" s="13"/>
      <c r="I30" s="13"/>
      <c r="J30" s="13"/>
    </row>
    <row r="31" spans="1:10" ht="15.75" thickBo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5.75" thickBot="1" x14ac:dyDescent="0.3">
      <c r="A32" s="13"/>
      <c r="B32" s="12" t="s">
        <v>29</v>
      </c>
      <c r="C32" s="13"/>
      <c r="D32" s="13"/>
      <c r="E32" s="13"/>
      <c r="F32" s="13"/>
      <c r="G32" s="10">
        <f>Blad2!T23</f>
        <v>0</v>
      </c>
      <c r="H32" s="13"/>
      <c r="I32" s="13"/>
      <c r="J32" s="13"/>
    </row>
    <row r="33" spans="1:10" ht="15.75" thickBot="1" x14ac:dyDescent="0.3">
      <c r="A33" s="13"/>
      <c r="B33" s="12"/>
      <c r="C33" s="13"/>
      <c r="D33" s="13"/>
      <c r="E33" s="13"/>
      <c r="F33" s="13"/>
      <c r="G33" s="15"/>
      <c r="H33" s="13"/>
      <c r="I33" s="13"/>
      <c r="J33" s="13"/>
    </row>
    <row r="34" spans="1:10" ht="15.75" thickBot="1" x14ac:dyDescent="0.3">
      <c r="A34" s="13"/>
      <c r="B34" s="12" t="s">
        <v>45</v>
      </c>
      <c r="C34" s="13"/>
      <c r="D34" s="13"/>
      <c r="E34" s="13"/>
      <c r="F34" s="13"/>
      <c r="G34" s="10">
        <f>Blad2!T25</f>
        <v>0</v>
      </c>
      <c r="H34" s="13"/>
      <c r="I34" s="13"/>
      <c r="J34" s="13"/>
    </row>
    <row r="35" spans="1:10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5.75" x14ac:dyDescent="0.25">
      <c r="A36" s="13"/>
      <c r="B36" s="65" t="s">
        <v>27</v>
      </c>
      <c r="C36" s="65"/>
      <c r="D36" s="65"/>
      <c r="E36" s="66"/>
      <c r="F36" s="66"/>
      <c r="G36" s="14">
        <f>G24+G26+G28+G30+G32+G34</f>
        <v>327095</v>
      </c>
      <c r="H36" s="14" t="s">
        <v>5</v>
      </c>
      <c r="I36" s="13"/>
      <c r="J36" s="13"/>
    </row>
  </sheetData>
  <mergeCells count="9">
    <mergeCell ref="B28:D28"/>
    <mergeCell ref="B30:D30"/>
    <mergeCell ref="B36:F36"/>
    <mergeCell ref="B2:H2"/>
    <mergeCell ref="B10:C10"/>
    <mergeCell ref="B12:C12"/>
    <mergeCell ref="B14:C14"/>
    <mergeCell ref="B24:F24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Enkel fastighet</vt:lpstr>
      <vt:lpstr>Blad2</vt:lpstr>
      <vt:lpstr>Blad3</vt:lpstr>
      <vt:lpstr>Anläggningsavgift</vt:lpstr>
    </vt:vector>
  </TitlesOfParts>
  <Company>Sigtuna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Larsson</dc:creator>
  <cp:lastModifiedBy>Charbel Zakharia</cp:lastModifiedBy>
  <cp:lastPrinted>2018-08-20T11:47:06Z</cp:lastPrinted>
  <dcterms:created xsi:type="dcterms:W3CDTF">2018-01-09T07:46:48Z</dcterms:created>
  <dcterms:modified xsi:type="dcterms:W3CDTF">2024-12-03T09:13:45Z</dcterms:modified>
</cp:coreProperties>
</file>